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italiiivantsov/Dropbox (Cooperativa)/Buch/Finales Vertragsset &amp; Support Documents/06 Convertible Wandlung + Cap Table Excel/"/>
    </mc:Choice>
  </mc:AlternateContent>
  <bookViews>
    <workbookView xWindow="6160" yWindow="460" windowWidth="43360" windowHeight="19540" tabRatio="500"/>
  </bookViews>
  <sheets>
    <sheet name="Blatt1" sheetId="1" r:id="rId1"/>
    <sheet name="Blatt2" sheetId="2" state="hidden" r:id="rId2"/>
  </sheets>
  <definedNames>
    <definedName name="_xlnm.Print_Area" localSheetId="0">Blatt1!$C$89:$G$115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2" i="1" l="1"/>
  <c r="E82" i="1"/>
  <c r="F82" i="1"/>
  <c r="D76" i="1"/>
  <c r="D77" i="1"/>
  <c r="D78" i="1"/>
  <c r="E30" i="1"/>
  <c r="D79" i="1"/>
  <c r="G82" i="1"/>
  <c r="H82" i="1"/>
  <c r="D83" i="1"/>
  <c r="E83" i="1"/>
  <c r="F83" i="1"/>
  <c r="G83" i="1"/>
  <c r="H83" i="1"/>
  <c r="H85" i="1"/>
  <c r="D50" i="1"/>
  <c r="D51" i="1"/>
  <c r="E66" i="1"/>
  <c r="E67" i="1"/>
  <c r="E68" i="1"/>
  <c r="D55" i="1"/>
  <c r="D56" i="1"/>
  <c r="D57" i="1"/>
  <c r="F85" i="1"/>
  <c r="D54" i="1"/>
  <c r="E100" i="1"/>
  <c r="E62" i="1"/>
  <c r="E92" i="1"/>
  <c r="E63" i="1"/>
  <c r="E93" i="1"/>
  <c r="E64" i="1"/>
  <c r="E94" i="1"/>
  <c r="E65" i="1"/>
  <c r="E95" i="1"/>
  <c r="E96" i="1"/>
  <c r="E97" i="1"/>
  <c r="E98" i="1"/>
  <c r="E99" i="1"/>
  <c r="E102" i="1"/>
  <c r="F100" i="1"/>
  <c r="F93" i="1"/>
  <c r="F94" i="1"/>
  <c r="F95" i="1"/>
  <c r="F96" i="1"/>
  <c r="F97" i="1"/>
  <c r="F98" i="1"/>
  <c r="F99" i="1"/>
  <c r="F92" i="1"/>
  <c r="G85" i="1"/>
  <c r="E85" i="1"/>
  <c r="D85" i="1"/>
  <c r="C83" i="1"/>
  <c r="C82" i="1"/>
  <c r="G68" i="1"/>
  <c r="G67" i="1"/>
  <c r="G66" i="1"/>
  <c r="D45" i="1"/>
  <c r="E10" i="1"/>
  <c r="D15" i="1"/>
  <c r="D16" i="1"/>
  <c r="E19" i="1"/>
  <c r="E20" i="1"/>
  <c r="E21" i="1"/>
  <c r="D21" i="1"/>
  <c r="F8" i="1"/>
  <c r="F9" i="1"/>
  <c r="F10" i="1"/>
  <c r="E113" i="1"/>
  <c r="E107" i="1"/>
  <c r="E108" i="1"/>
  <c r="E109" i="1"/>
  <c r="E110" i="1"/>
  <c r="E111" i="1"/>
  <c r="E112" i="1"/>
  <c r="E115" i="1"/>
  <c r="F113" i="1"/>
  <c r="F112" i="1"/>
  <c r="F111" i="1"/>
  <c r="F110" i="1"/>
  <c r="F109" i="1"/>
  <c r="F108" i="1"/>
  <c r="F107" i="1"/>
  <c r="G107" i="1"/>
  <c r="G109" i="1"/>
  <c r="G110" i="1"/>
  <c r="G111" i="1"/>
  <c r="G112" i="1"/>
  <c r="G113" i="1"/>
  <c r="G115" i="1"/>
  <c r="F115" i="1"/>
  <c r="G92" i="1"/>
  <c r="G93" i="1"/>
  <c r="G94" i="1"/>
  <c r="G96" i="1"/>
  <c r="G97" i="1"/>
  <c r="G98" i="1"/>
  <c r="G99" i="1"/>
  <c r="G100" i="1"/>
  <c r="G102" i="1"/>
  <c r="F102" i="1"/>
  <c r="G70" i="1"/>
  <c r="D53" i="1"/>
  <c r="E70" i="1"/>
  <c r="H62" i="1"/>
  <c r="H63" i="1"/>
  <c r="H64" i="1"/>
  <c r="H65" i="1"/>
  <c r="H66" i="1"/>
  <c r="H67" i="1"/>
  <c r="H68" i="1"/>
  <c r="H70" i="1"/>
  <c r="I66" i="1"/>
  <c r="I63" i="1"/>
  <c r="I64" i="1"/>
  <c r="I67" i="1"/>
  <c r="I68" i="1"/>
  <c r="I62" i="1"/>
  <c r="I70" i="1"/>
  <c r="F26" i="1"/>
  <c r="F27" i="1"/>
  <c r="F28" i="1"/>
  <c r="F29" i="1"/>
  <c r="F30" i="1"/>
</calcChain>
</file>

<file path=xl/sharedStrings.xml><?xml version="1.0" encoding="utf-8"?>
<sst xmlns="http://schemas.openxmlformats.org/spreadsheetml/2006/main" count="136" uniqueCount="65">
  <si>
    <t>Total</t>
  </si>
  <si>
    <t>%</t>
  </si>
  <si>
    <t>ja</t>
  </si>
  <si>
    <t>nein</t>
  </si>
  <si>
    <t>Budget</t>
  </si>
  <si>
    <t>Lisa Berger UG (haftungsbeschränkt)</t>
  </si>
  <si>
    <t>Fuchs Beteiligungs GmbH</t>
  </si>
  <si>
    <t>Seedstar Ventures GmbH</t>
  </si>
  <si>
    <t>Sommer Angel Beteiligungs KG</t>
  </si>
  <si>
    <t>Common</t>
  </si>
  <si>
    <t>Seed</t>
  </si>
  <si>
    <t>EarlyInvest II B.V.</t>
  </si>
  <si>
    <t>Peter Müller</t>
  </si>
  <si>
    <t>Peach Capital I LP</t>
  </si>
  <si>
    <t>Uphill Ventures III GmbH &amp; Co.KG</t>
  </si>
  <si>
    <t>Preferred (Seed)</t>
  </si>
  <si>
    <t>Gesellschafter</t>
  </si>
  <si>
    <t>Anteilsklasse</t>
  </si>
  <si>
    <t>Anteile</t>
  </si>
  <si>
    <t>Discount</t>
  </si>
  <si>
    <t>Zins p.a.</t>
  </si>
  <si>
    <t>Darlehensbetrag</t>
  </si>
  <si>
    <t>Investmenttermin</t>
  </si>
  <si>
    <t>Darlehenswandlung</t>
  </si>
  <si>
    <t>Neue Anteile</t>
  </si>
  <si>
    <t>Stammkapital post</t>
  </si>
  <si>
    <t>Gesamtinvestment</t>
  </si>
  <si>
    <t>ii. Wandlung Darlehen</t>
  </si>
  <si>
    <t>4. Finaler Cap Table</t>
  </si>
  <si>
    <t>Cap Table Digital World GmbH</t>
  </si>
  <si>
    <t>i. Cap Table ALLE Anteilsklassen</t>
  </si>
  <si>
    <t>ii. Cap Table nur Preferred Shares</t>
  </si>
  <si>
    <t>II. Seed-Finanzierung</t>
  </si>
  <si>
    <t>Series-Seed Pre-Money Bewertung</t>
  </si>
  <si>
    <t>Anteile vor der Runde</t>
  </si>
  <si>
    <t>Investoren der Runde</t>
  </si>
  <si>
    <t>Investment</t>
  </si>
  <si>
    <t>III.</t>
  </si>
  <si>
    <t>Pre-Series-A Convertible Runde</t>
  </si>
  <si>
    <t>Cap</t>
  </si>
  <si>
    <t>NEIN</t>
  </si>
  <si>
    <t>Floor</t>
  </si>
  <si>
    <t>Preis pro Anteil</t>
  </si>
  <si>
    <t>Fresh Money</t>
  </si>
  <si>
    <t>i. Fresh Money</t>
  </si>
  <si>
    <t>Darlehensgeber</t>
  </si>
  <si>
    <t>aufgelaufene Zinsen</t>
  </si>
  <si>
    <t>Stichtag für Zinsberechnung</t>
  </si>
  <si>
    <t>Wandlungsbetrag</t>
  </si>
  <si>
    <t>Qualifizierte Finanzierungsrunde?</t>
  </si>
  <si>
    <t>JA</t>
  </si>
  <si>
    <t>Wandlungsbewertung vor Discount</t>
  </si>
  <si>
    <t>Wandlungsbewertung nach Discount</t>
  </si>
  <si>
    <t>Preis pro Anteil nach Discount</t>
  </si>
  <si>
    <t>Nominal</t>
  </si>
  <si>
    <t>I. Gründung</t>
  </si>
  <si>
    <t>Preis pro Series-Seed-Anteil</t>
  </si>
  <si>
    <t>Resultierender Cap Table:</t>
  </si>
  <si>
    <t>Forced-Conversion-Bewertung</t>
  </si>
  <si>
    <t>Schwelle qualifizierte Wandlung</t>
  </si>
  <si>
    <t>Pre-Money-Bewertung</t>
  </si>
  <si>
    <t>IV. Series-A-Finanzierungsrunde</t>
  </si>
  <si>
    <t>Post-Money-Bewertung</t>
  </si>
  <si>
    <t>Series-A</t>
  </si>
  <si>
    <t>Preferred (Series-A)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</si>
</sst>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_-* #,##0\ _-;\-* #,##0\ _-;_-* &quot;-&quot;??\ _-;_-@_-"/>
    <numFmt numFmtId="166" formatCode="_-* #,##0\ _€_-;\-* #,##0\ _€_-;_-* &quot;-&quot;??\ _€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b/>
      <sz val="14"/>
      <name val="Arial"/>
    </font>
    <font>
      <sz val="22"/>
      <name val="Arial"/>
    </font>
    <font>
      <sz val="12"/>
      <color theme="1"/>
      <name val="Arial"/>
    </font>
    <font>
      <b/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1" xfId="0" applyFont="1" applyFill="1" applyBorder="1"/>
    <xf numFmtId="0" fontId="8" fillId="2" borderId="1" xfId="0" applyFont="1" applyFill="1" applyBorder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1" xfId="0" applyFont="1" applyFill="1" applyBorder="1"/>
    <xf numFmtId="0" fontId="12" fillId="2" borderId="1" xfId="0" applyFont="1" applyFill="1" applyBorder="1" applyAlignment="1">
      <alignment horizontal="right"/>
    </xf>
    <xf numFmtId="0" fontId="11" fillId="2" borderId="0" xfId="0" applyFont="1" applyFill="1" applyBorder="1"/>
    <xf numFmtId="0" fontId="11" fillId="2" borderId="0" xfId="0" applyFont="1" applyFill="1" applyAlignment="1">
      <alignment wrapText="1"/>
    </xf>
    <xf numFmtId="0" fontId="11" fillId="2" borderId="2" xfId="0" applyFont="1" applyFill="1" applyBorder="1"/>
    <xf numFmtId="165" fontId="11" fillId="2" borderId="2" xfId="1" applyNumberFormat="1" applyFont="1" applyFill="1" applyBorder="1"/>
    <xf numFmtId="10" fontId="11" fillId="2" borderId="2" xfId="2" applyNumberFormat="1" applyFont="1" applyFill="1" applyBorder="1"/>
    <xf numFmtId="165" fontId="11" fillId="2" borderId="0" xfId="1" applyNumberFormat="1" applyFont="1" applyFill="1" applyBorder="1"/>
    <xf numFmtId="10" fontId="11" fillId="2" borderId="0" xfId="2" applyNumberFormat="1" applyFont="1" applyFill="1"/>
    <xf numFmtId="0" fontId="12" fillId="2" borderId="4" xfId="0" applyFont="1" applyFill="1" applyBorder="1"/>
    <xf numFmtId="165" fontId="12" fillId="2" borderId="4" xfId="1" applyNumberFormat="1" applyFont="1" applyFill="1" applyBorder="1"/>
    <xf numFmtId="10" fontId="12" fillId="2" borderId="4" xfId="2" applyNumberFormat="1" applyFont="1" applyFill="1" applyBorder="1"/>
    <xf numFmtId="164" fontId="6" fillId="2" borderId="0" xfId="1" applyNumberFormat="1" applyFont="1" applyFill="1"/>
    <xf numFmtId="166" fontId="6" fillId="2" borderId="0" xfId="49" applyNumberFormat="1" applyFont="1" applyFill="1"/>
    <xf numFmtId="44" fontId="6" fillId="2" borderId="0" xfId="1" applyFont="1" applyFill="1"/>
    <xf numFmtId="0" fontId="10" fillId="2" borderId="1" xfId="0" applyFont="1" applyFill="1" applyBorder="1"/>
    <xf numFmtId="44" fontId="10" fillId="2" borderId="1" xfId="1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164" fontId="6" fillId="2" borderId="0" xfId="1" applyNumberFormat="1" applyFont="1" applyFill="1" applyBorder="1"/>
    <xf numFmtId="166" fontId="6" fillId="2" borderId="0" xfId="49" applyNumberFormat="1" applyFont="1" applyFill="1" applyBorder="1"/>
    <xf numFmtId="0" fontId="11" fillId="2" borderId="3" xfId="0" applyFont="1" applyFill="1" applyBorder="1"/>
    <xf numFmtId="164" fontId="6" fillId="2" borderId="3" xfId="1" applyNumberFormat="1" applyFont="1" applyFill="1" applyBorder="1"/>
    <xf numFmtId="166" fontId="6" fillId="2" borderId="3" xfId="49" applyNumberFormat="1" applyFont="1" applyFill="1" applyBorder="1"/>
    <xf numFmtId="0" fontId="12" fillId="2" borderId="0" xfId="0" applyFont="1" applyFill="1"/>
    <xf numFmtId="164" fontId="12" fillId="2" borderId="0" xfId="0" applyNumberFormat="1" applyFont="1" applyFill="1"/>
    <xf numFmtId="166" fontId="12" fillId="2" borderId="0" xfId="0" applyNumberFormat="1" applyFont="1" applyFill="1"/>
    <xf numFmtId="10" fontId="11" fillId="2" borderId="0" xfId="2" applyNumberFormat="1" applyFont="1" applyFill="1" applyBorder="1"/>
    <xf numFmtId="164" fontId="11" fillId="2" borderId="0" xfId="1" applyNumberFormat="1" applyFont="1" applyFill="1" applyBorder="1"/>
    <xf numFmtId="0" fontId="12" fillId="2" borderId="0" xfId="0" applyFont="1" applyFill="1" applyBorder="1"/>
    <xf numFmtId="9" fontId="11" fillId="2" borderId="0" xfId="0" applyNumberFormat="1" applyFont="1" applyFill="1" applyBorder="1"/>
    <xf numFmtId="9" fontId="11" fillId="2" borderId="0" xfId="0" applyNumberFormat="1" applyFont="1" applyFill="1" applyBorder="1" applyAlignment="1">
      <alignment horizontal="right"/>
    </xf>
    <xf numFmtId="14" fontId="11" fillId="2" borderId="0" xfId="0" applyNumberFormat="1" applyFont="1" applyFill="1"/>
    <xf numFmtId="164" fontId="12" fillId="2" borderId="4" xfId="0" applyNumberFormat="1" applyFont="1" applyFill="1" applyBorder="1"/>
    <xf numFmtId="14" fontId="12" fillId="2" borderId="4" xfId="0" applyNumberFormat="1" applyFont="1" applyFill="1" applyBorder="1"/>
    <xf numFmtId="164" fontId="11" fillId="2" borderId="5" xfId="1" applyNumberFormat="1" applyFont="1" applyFill="1" applyBorder="1"/>
    <xf numFmtId="44" fontId="11" fillId="2" borderId="0" xfId="1" applyNumberFormat="1" applyFont="1" applyFill="1" applyBorder="1"/>
    <xf numFmtId="166" fontId="11" fillId="2" borderId="0" xfId="49" applyNumberFormat="1" applyFont="1" applyFill="1" applyBorder="1"/>
    <xf numFmtId="164" fontId="11" fillId="2" borderId="0" xfId="0" applyNumberFormat="1" applyFont="1" applyFill="1" applyBorder="1"/>
    <xf numFmtId="165" fontId="12" fillId="2" borderId="0" xfId="1" applyNumberFormat="1" applyFont="1" applyFill="1" applyBorder="1"/>
    <xf numFmtId="164" fontId="12" fillId="2" borderId="0" xfId="1" applyNumberFormat="1" applyFont="1" applyFill="1" applyBorder="1"/>
    <xf numFmtId="10" fontId="12" fillId="2" borderId="0" xfId="1" applyNumberFormat="1" applyFont="1" applyFill="1" applyBorder="1"/>
    <xf numFmtId="16" fontId="12" fillId="2" borderId="0" xfId="0" applyNumberFormat="1" applyFont="1" applyFill="1" applyBorder="1"/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0" fontId="11" fillId="2" borderId="0" xfId="2" applyNumberFormat="1" applyFont="1" applyFill="1" applyBorder="1" applyAlignment="1">
      <alignment horizontal="right"/>
    </xf>
    <xf numFmtId="10" fontId="12" fillId="2" borderId="0" xfId="0" applyNumberFormat="1" applyFont="1" applyFill="1"/>
    <xf numFmtId="10" fontId="12" fillId="2" borderId="0" xfId="0" applyNumberFormat="1" applyFont="1" applyFill="1" applyBorder="1"/>
    <xf numFmtId="10" fontId="12" fillId="2" borderId="0" xfId="2" applyNumberFormat="1" applyFont="1" applyFill="1" applyBorder="1" applyAlignment="1">
      <alignment horizontal="right"/>
    </xf>
    <xf numFmtId="3" fontId="6" fillId="2" borderId="0" xfId="1" applyNumberFormat="1" applyFont="1" applyFill="1" applyBorder="1"/>
    <xf numFmtId="164" fontId="6" fillId="2" borderId="5" xfId="1" applyNumberFormat="1" applyFont="1" applyFill="1" applyBorder="1"/>
    <xf numFmtId="44" fontId="6" fillId="2" borderId="0" xfId="1" applyNumberFormat="1" applyFont="1" applyFill="1" applyBorder="1"/>
    <xf numFmtId="3" fontId="11" fillId="2" borderId="3" xfId="1" applyNumberFormat="1" applyFont="1" applyFill="1" applyBorder="1"/>
    <xf numFmtId="164" fontId="11" fillId="2" borderId="3" xfId="1" applyNumberFormat="1" applyFont="1" applyFill="1" applyBorder="1"/>
    <xf numFmtId="44" fontId="11" fillId="2" borderId="3" xfId="1" applyNumberFormat="1" applyFont="1" applyFill="1" applyBorder="1"/>
    <xf numFmtId="10" fontId="11" fillId="2" borderId="3" xfId="2" applyNumberFormat="1" applyFont="1" applyFill="1" applyBorder="1"/>
    <xf numFmtId="3" fontId="12" fillId="2" borderId="0" xfId="1" applyNumberFormat="1" applyFont="1" applyFill="1" applyBorder="1"/>
    <xf numFmtId="44" fontId="12" fillId="2" borderId="0" xfId="1" applyNumberFormat="1" applyFont="1" applyFill="1" applyBorder="1"/>
    <xf numFmtId="14" fontId="11" fillId="2" borderId="5" xfId="0" applyNumberFormat="1" applyFont="1" applyFill="1" applyBorder="1"/>
    <xf numFmtId="164" fontId="11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center"/>
    </xf>
    <xf numFmtId="44" fontId="11" fillId="2" borderId="0" xfId="0" applyNumberFormat="1" applyFont="1" applyFill="1" applyBorder="1"/>
    <xf numFmtId="166" fontId="11" fillId="2" borderId="0" xfId="0" applyNumberFormat="1" applyFont="1" applyFill="1" applyBorder="1"/>
    <xf numFmtId="0" fontId="11" fillId="2" borderId="0" xfId="0" applyFont="1" applyFill="1" applyAlignment="1">
      <alignment horizontal="right"/>
    </xf>
    <xf numFmtId="0" fontId="11" fillId="2" borderId="0" xfId="0" applyFont="1" applyFill="1" applyBorder="1" applyAlignment="1">
      <alignment wrapText="1"/>
    </xf>
  </cellXfs>
  <cellStyles count="52"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1" builtinId="9" hidden="1"/>
    <cellStyle name="Dezimal" xfId="49" builtinId="3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50" builtinId="8" hidden="1"/>
    <cellStyle name="Prozent" xfId="2" builtinId="5"/>
    <cellStyle name="Stand.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A128"/>
  <sheetViews>
    <sheetView tabSelected="1" topLeftCell="A44" zoomScale="120" zoomScaleNormal="120" zoomScalePageLayoutView="120" workbookViewId="0">
      <selection activeCell="K83" sqref="K83"/>
    </sheetView>
  </sheetViews>
  <sheetFormatPr baseColWidth="10" defaultColWidth="10.83203125" defaultRowHeight="16" x14ac:dyDescent="0.2"/>
  <cols>
    <col min="1" max="1" width="2.6640625" style="6" customWidth="1"/>
    <col min="2" max="2" width="3.33203125" style="6" customWidth="1"/>
    <col min="3" max="3" width="36.33203125" style="6" customWidth="1"/>
    <col min="4" max="4" width="17.1640625" style="6" customWidth="1"/>
    <col min="5" max="5" width="18.5" style="6" customWidth="1"/>
    <col min="6" max="6" width="17.5" style="6" customWidth="1"/>
    <col min="7" max="7" width="16.33203125" style="6" customWidth="1"/>
    <col min="8" max="9" width="11" style="6" customWidth="1"/>
    <col min="10" max="10" width="5.1640625" style="6" customWidth="1"/>
    <col min="11" max="16384" width="10.83203125" style="6"/>
  </cols>
  <sheetData>
    <row r="1" spans="2:26" s="1" customFormat="1" ht="5" customHeight="1" x14ac:dyDescent="0.15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s="1" customFormat="1" ht="27" customHeight="1" x14ac:dyDescent="0.2">
      <c r="B2" s="3" t="s">
        <v>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s="1" customFormat="1" ht="3" customHeight="1" x14ac:dyDescent="0.3">
      <c r="B3" s="4"/>
      <c r="C3" s="5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s="1" customFormat="1" ht="12.75" customHeight="1" x14ac:dyDescent="0.15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ht="12.75" customHeight="1" x14ac:dyDescent="0.15">
      <c r="B5" s="7" t="s">
        <v>55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s="1" customFormat="1" ht="12.75" customHeight="1" x14ac:dyDescent="0.15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s="8" customFormat="1" ht="13" x14ac:dyDescent="0.15">
      <c r="C7" s="9" t="s">
        <v>16</v>
      </c>
      <c r="D7" s="9" t="s">
        <v>17</v>
      </c>
      <c r="E7" s="10" t="s">
        <v>18</v>
      </c>
      <c r="F7" s="10" t="s">
        <v>1</v>
      </c>
      <c r="G7" s="2"/>
      <c r="H7" s="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2:26" s="8" customFormat="1" ht="13" x14ac:dyDescent="0.15">
      <c r="C8" s="12" t="s">
        <v>5</v>
      </c>
      <c r="D8" s="13" t="s">
        <v>9</v>
      </c>
      <c r="E8" s="14">
        <v>15000</v>
      </c>
      <c r="F8" s="15">
        <f>ROUND(E8/E$10,4)</f>
        <v>0.6</v>
      </c>
      <c r="G8" s="2"/>
      <c r="H8" s="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s="8" customFormat="1" ht="14" thickBot="1" x14ac:dyDescent="0.2">
      <c r="C9" s="8" t="s">
        <v>6</v>
      </c>
      <c r="D9" s="11" t="s">
        <v>9</v>
      </c>
      <c r="E9" s="16">
        <v>10000</v>
      </c>
      <c r="F9" s="17">
        <f>ROUND(E9/E$10,4)</f>
        <v>0.4</v>
      </c>
      <c r="G9" s="2"/>
      <c r="H9" s="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s="11" customFormat="1" ht="14" thickTop="1" x14ac:dyDescent="0.15">
      <c r="C10" s="18"/>
      <c r="D10" s="18"/>
      <c r="E10" s="19">
        <f>SUM(E8:E9)</f>
        <v>25000</v>
      </c>
      <c r="F10" s="20">
        <f>SUM(F8:F9)</f>
        <v>1</v>
      </c>
      <c r="G10" s="2"/>
      <c r="H10" s="2"/>
    </row>
    <row r="11" spans="2:26" s="1" customFormat="1" ht="16" customHeight="1" x14ac:dyDescent="0.15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2:26" s="1" customFormat="1" ht="16" customHeight="1" x14ac:dyDescent="0.15">
      <c r="B12" s="7" t="s">
        <v>32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6" s="1" customFormat="1" ht="16" customHeight="1" x14ac:dyDescent="0.15"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6" s="1" customFormat="1" ht="16" customHeight="1" x14ac:dyDescent="0.15">
      <c r="C14" s="1" t="s">
        <v>33</v>
      </c>
      <c r="D14" s="21">
        <v>2000000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26" s="1" customFormat="1" ht="16" customHeight="1" x14ac:dyDescent="0.15">
      <c r="C15" s="1" t="s">
        <v>34</v>
      </c>
      <c r="D15" s="22">
        <f>E10</f>
        <v>25000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s="1" customFormat="1" ht="16" customHeight="1" x14ac:dyDescent="0.15">
      <c r="C16" s="1" t="s">
        <v>56</v>
      </c>
      <c r="D16" s="23">
        <f>D14/D15</f>
        <v>80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6" s="1" customFormat="1" ht="16" customHeight="1" x14ac:dyDescent="0.15">
      <c r="D17" s="2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2:26" s="1" customFormat="1" ht="16" customHeight="1" x14ac:dyDescent="0.15">
      <c r="C18" s="24" t="s">
        <v>35</v>
      </c>
      <c r="D18" s="25" t="s">
        <v>36</v>
      </c>
      <c r="E18" s="26" t="s">
        <v>24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s="1" customFormat="1" ht="16" customHeight="1" x14ac:dyDescent="0.15">
      <c r="C19" s="8" t="s">
        <v>8</v>
      </c>
      <c r="D19" s="27">
        <v>300000</v>
      </c>
      <c r="E19" s="28">
        <f>ROUND(D19/D$16,0)</f>
        <v>3750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26" s="1" customFormat="1" ht="16" customHeight="1" thickBot="1" x14ac:dyDescent="0.2">
      <c r="C20" s="29" t="s">
        <v>7</v>
      </c>
      <c r="D20" s="30">
        <v>200000</v>
      </c>
      <c r="E20" s="31">
        <f>ROUND(D20/D$16,0)</f>
        <v>2500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6" s="8" customFormat="1" ht="16" customHeight="1" thickTop="1" x14ac:dyDescent="0.15">
      <c r="B21" s="32"/>
      <c r="D21" s="33">
        <f>SUM(D19:D20)</f>
        <v>500000</v>
      </c>
      <c r="E21" s="34">
        <f>SUM(E19:E20)</f>
        <v>6250</v>
      </c>
      <c r="G21" s="2"/>
      <c r="H21" s="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s="8" customFormat="1" ht="13" x14ac:dyDescent="0.15">
      <c r="G22" s="2"/>
      <c r="H22" s="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s="8" customFormat="1" ht="13" x14ac:dyDescent="0.15">
      <c r="C23" s="32" t="s">
        <v>57</v>
      </c>
      <c r="G23" s="2"/>
      <c r="H23" s="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s="8" customFormat="1" ht="13" x14ac:dyDescent="0.15">
      <c r="G24" s="2"/>
      <c r="H24" s="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s="8" customFormat="1" ht="13" x14ac:dyDescent="0.15">
      <c r="C25" s="9" t="s">
        <v>16</v>
      </c>
      <c r="D25" s="9" t="s">
        <v>17</v>
      </c>
      <c r="E25" s="10" t="s">
        <v>18</v>
      </c>
      <c r="F25" s="10" t="s">
        <v>1</v>
      </c>
      <c r="G25" s="2"/>
      <c r="H25" s="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s="8" customFormat="1" ht="13" x14ac:dyDescent="0.15">
      <c r="C26" s="12" t="s">
        <v>5</v>
      </c>
      <c r="D26" s="13" t="s">
        <v>9</v>
      </c>
      <c r="E26" s="14">
        <v>15000</v>
      </c>
      <c r="F26" s="15">
        <f>ROUND(E26/E$30,4)</f>
        <v>0.48</v>
      </c>
      <c r="G26" s="2"/>
      <c r="H26" s="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s="8" customFormat="1" ht="13" x14ac:dyDescent="0.15">
      <c r="C27" s="8" t="s">
        <v>6</v>
      </c>
      <c r="D27" s="11" t="s">
        <v>9</v>
      </c>
      <c r="E27" s="16">
        <v>10000</v>
      </c>
      <c r="F27" s="17">
        <f>ROUND(E27/E$30,4)</f>
        <v>0.32</v>
      </c>
      <c r="G27" s="2"/>
      <c r="H27" s="2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s="8" customFormat="1" ht="13" x14ac:dyDescent="0.15">
      <c r="C28" s="8" t="s">
        <v>8</v>
      </c>
      <c r="D28" s="11" t="s">
        <v>10</v>
      </c>
      <c r="E28" s="16">
        <v>3750</v>
      </c>
      <c r="F28" s="17">
        <f>ROUND(E28/E$30,4)</f>
        <v>0.12</v>
      </c>
      <c r="G28" s="2"/>
      <c r="H28" s="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s="11" customFormat="1" ht="14" thickBot="1" x14ac:dyDescent="0.2">
      <c r="C29" s="8" t="s">
        <v>7</v>
      </c>
      <c r="D29" s="11" t="s">
        <v>10</v>
      </c>
      <c r="E29" s="16">
        <v>2500</v>
      </c>
      <c r="F29" s="35">
        <f>ROUND(E29/E$30,4)</f>
        <v>0.08</v>
      </c>
      <c r="G29" s="2"/>
      <c r="H29" s="2"/>
    </row>
    <row r="30" spans="2:26" s="11" customFormat="1" ht="14" thickTop="1" x14ac:dyDescent="0.15">
      <c r="C30" s="18"/>
      <c r="D30" s="18"/>
      <c r="E30" s="19">
        <f>SUM(E26:E29)</f>
        <v>31250</v>
      </c>
      <c r="F30" s="20">
        <f>SUM(F26:F29)</f>
        <v>1</v>
      </c>
      <c r="G30" s="2"/>
      <c r="H30" s="2"/>
    </row>
    <row r="31" spans="2:26" s="11" customFormat="1" ht="13" x14ac:dyDescent="0.15">
      <c r="E31" s="36"/>
      <c r="F31" s="36"/>
      <c r="G31" s="2"/>
      <c r="H31" s="2"/>
    </row>
    <row r="32" spans="2:26" s="11" customFormat="1" ht="13" x14ac:dyDescent="0.15">
      <c r="E32" s="36"/>
      <c r="F32" s="36"/>
      <c r="G32" s="36"/>
      <c r="H32" s="35"/>
    </row>
    <row r="33" spans="2:27" s="8" customFormat="1" ht="19" customHeight="1" x14ac:dyDescent="0.15">
      <c r="B33" s="37" t="s">
        <v>37</v>
      </c>
      <c r="C33" s="37" t="s">
        <v>38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2:27" s="8" customFormat="1" ht="13" x14ac:dyDescent="0.15">
      <c r="B34" s="11"/>
      <c r="C34" s="37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2:27" s="8" customFormat="1" ht="13" x14ac:dyDescent="0.15">
      <c r="B35" s="11"/>
      <c r="C35" s="11" t="s">
        <v>19</v>
      </c>
      <c r="D35" s="38">
        <v>0.2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2:27" s="8" customFormat="1" ht="13" x14ac:dyDescent="0.15">
      <c r="B36" s="11"/>
      <c r="C36" s="11" t="s">
        <v>20</v>
      </c>
      <c r="D36" s="38">
        <v>0.06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2:27" s="8" customFormat="1" ht="13" x14ac:dyDescent="0.15">
      <c r="B37" s="11"/>
      <c r="C37" s="11" t="s">
        <v>39</v>
      </c>
      <c r="D37" s="39" t="s">
        <v>40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2:27" s="8" customFormat="1" ht="13" x14ac:dyDescent="0.15">
      <c r="B38" s="11"/>
      <c r="C38" s="11" t="s">
        <v>41</v>
      </c>
      <c r="D38" s="39" t="s">
        <v>40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2:27" s="8" customFormat="1" ht="13" x14ac:dyDescent="0.15">
      <c r="B39" s="11"/>
      <c r="C39" s="11" t="s">
        <v>58</v>
      </c>
      <c r="D39" s="36">
        <v>2500000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2:27" s="8" customFormat="1" ht="13" x14ac:dyDescent="0.15">
      <c r="B40" s="11"/>
      <c r="C40" s="11" t="s">
        <v>59</v>
      </c>
      <c r="D40" s="36">
        <v>500000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2:27" s="8" customFormat="1" ht="13" x14ac:dyDescent="0.15">
      <c r="B41" s="11"/>
      <c r="C41" s="37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2:27" s="8" customFormat="1" ht="13" x14ac:dyDescent="0.15">
      <c r="B42" s="11"/>
      <c r="C42" s="9" t="s">
        <v>35</v>
      </c>
      <c r="D42" s="10" t="s">
        <v>21</v>
      </c>
      <c r="E42" s="10" t="s">
        <v>22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2:27" s="8" customFormat="1" ht="13" x14ac:dyDescent="0.15">
      <c r="B43" s="11"/>
      <c r="C43" s="12" t="s">
        <v>11</v>
      </c>
      <c r="D43" s="36">
        <v>500000</v>
      </c>
      <c r="E43" s="40">
        <v>42688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2:27" s="8" customFormat="1" ht="14" thickBot="1" x14ac:dyDescent="0.2">
      <c r="B44" s="11"/>
      <c r="C44" s="8" t="s">
        <v>12</v>
      </c>
      <c r="D44" s="36">
        <v>275000</v>
      </c>
      <c r="E44" s="40">
        <v>42702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2:27" s="8" customFormat="1" ht="14" thickTop="1" x14ac:dyDescent="0.15">
      <c r="B45" s="11"/>
      <c r="C45" s="18"/>
      <c r="D45" s="41">
        <f>SUM(D43:D44)</f>
        <v>775000</v>
      </c>
      <c r="E45" s="42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2:27" s="8" customFormat="1" ht="13" x14ac:dyDescent="0.15">
      <c r="B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2:27" s="8" customFormat="1" ht="13" x14ac:dyDescent="0.15">
      <c r="B47" s="37" t="s">
        <v>61</v>
      </c>
      <c r="C47" s="37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2:27" s="8" customFormat="1" ht="13" x14ac:dyDescent="0.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2:27" s="8" customFormat="1" ht="13" x14ac:dyDescent="0.15">
      <c r="B49" s="11"/>
      <c r="C49" s="11" t="s">
        <v>60</v>
      </c>
      <c r="D49" s="43">
        <v>8000000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2:27" s="8" customFormat="1" ht="13" x14ac:dyDescent="0.15">
      <c r="B50" s="11"/>
      <c r="C50" s="11" t="s">
        <v>34</v>
      </c>
      <c r="D50" s="36">
        <f>E30</f>
        <v>31250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2:27" s="8" customFormat="1" ht="13" x14ac:dyDescent="0.15">
      <c r="B51" s="11"/>
      <c r="C51" s="11" t="s">
        <v>42</v>
      </c>
      <c r="D51" s="44">
        <f>D49/D50</f>
        <v>256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2:27" s="8" customFormat="1" ht="13" x14ac:dyDescent="0.15">
      <c r="B52" s="11"/>
      <c r="C52" s="11"/>
      <c r="D52" s="44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2:27" s="8" customFormat="1" ht="13" x14ac:dyDescent="0.15">
      <c r="B53" s="11"/>
      <c r="C53" s="11" t="s">
        <v>43</v>
      </c>
      <c r="D53" s="36">
        <f>G70</f>
        <v>2999808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2:27" s="8" customFormat="1" ht="13" x14ac:dyDescent="0.15">
      <c r="B54" s="11"/>
      <c r="C54" s="11" t="s">
        <v>23</v>
      </c>
      <c r="D54" s="36">
        <f>F85</f>
        <v>796187.5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s="8" customFormat="1" ht="13" x14ac:dyDescent="0.15">
      <c r="B55" s="11"/>
      <c r="C55" s="11" t="s">
        <v>24</v>
      </c>
      <c r="D55" s="45">
        <f>SUM(E66:E68)+SUM(G82:G83)</f>
        <v>15624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s="8" customFormat="1" ht="16.5" customHeight="1" x14ac:dyDescent="0.15">
      <c r="B56" s="11"/>
      <c r="C56" s="11" t="s">
        <v>25</v>
      </c>
      <c r="D56" s="46">
        <f>E30+D55</f>
        <v>46874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s="8" customFormat="1" ht="16.5" customHeight="1" x14ac:dyDescent="0.15">
      <c r="B57" s="11"/>
      <c r="C57" s="11" t="s">
        <v>62</v>
      </c>
      <c r="D57" s="46">
        <f>D56*D51</f>
        <v>11999744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s="8" customFormat="1" ht="15" customHeight="1" x14ac:dyDescent="0.15">
      <c r="B58" s="11"/>
      <c r="C58" s="37"/>
      <c r="D58" s="37"/>
      <c r="E58" s="47"/>
      <c r="F58" s="47"/>
      <c r="G58" s="48"/>
      <c r="H58" s="49"/>
      <c r="I58" s="49"/>
      <c r="J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s="8" customFormat="1" ht="13" x14ac:dyDescent="0.15">
      <c r="B59" s="50"/>
      <c r="C59" s="37" t="s">
        <v>44</v>
      </c>
      <c r="D59" s="11"/>
      <c r="E59" s="11"/>
      <c r="F59" s="11"/>
      <c r="G59" s="46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2:27" s="8" customFormat="1" ht="13" x14ac:dyDescent="0.15">
      <c r="B60" s="11"/>
      <c r="C60" s="11"/>
      <c r="D60" s="11"/>
      <c r="E60" s="11"/>
      <c r="F60" s="11"/>
      <c r="G60" s="46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2:27" s="8" customFormat="1" ht="13" x14ac:dyDescent="0.15">
      <c r="B61" s="11"/>
      <c r="C61" s="9" t="s">
        <v>16</v>
      </c>
      <c r="D61" s="9" t="s">
        <v>17</v>
      </c>
      <c r="E61" s="10" t="s">
        <v>18</v>
      </c>
      <c r="F61" s="51" t="s">
        <v>4</v>
      </c>
      <c r="G61" s="52" t="s">
        <v>26</v>
      </c>
      <c r="H61" s="10" t="s">
        <v>1</v>
      </c>
      <c r="I61" s="51" t="s">
        <v>0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2:27" s="8" customFormat="1" ht="13" x14ac:dyDescent="0.15">
      <c r="B62" s="11"/>
      <c r="C62" s="12" t="s">
        <v>5</v>
      </c>
      <c r="D62" s="13" t="s">
        <v>9</v>
      </c>
      <c r="E62" s="53">
        <f>E26</f>
        <v>15000</v>
      </c>
      <c r="F62" s="54"/>
      <c r="G62" s="55"/>
      <c r="H62" s="56">
        <f t="shared" ref="H62:H68" si="0">E62/$E$70</f>
        <v>0.34909700242040587</v>
      </c>
      <c r="I62" s="57">
        <f>H62</f>
        <v>0.34909700242040587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2:27" s="8" customFormat="1" ht="13" x14ac:dyDescent="0.15">
      <c r="B63" s="11"/>
      <c r="C63" s="8" t="s">
        <v>6</v>
      </c>
      <c r="D63" s="11" t="s">
        <v>9</v>
      </c>
      <c r="E63" s="53">
        <f>E27</f>
        <v>10000</v>
      </c>
      <c r="F63" s="54"/>
      <c r="G63" s="55"/>
      <c r="H63" s="56">
        <f t="shared" si="0"/>
        <v>0.23273133494693726</v>
      </c>
      <c r="I63" s="57">
        <f t="shared" ref="I63:I68" si="1">H63</f>
        <v>0.23273133494693726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2:27" s="8" customFormat="1" ht="13" x14ac:dyDescent="0.15">
      <c r="B64" s="11"/>
      <c r="C64" s="11" t="s">
        <v>8</v>
      </c>
      <c r="D64" s="11" t="s">
        <v>10</v>
      </c>
      <c r="E64" s="53">
        <f>E28</f>
        <v>3750</v>
      </c>
      <c r="F64" s="54"/>
      <c r="G64" s="55"/>
      <c r="H64" s="56">
        <f t="shared" si="0"/>
        <v>8.7274250605101467E-2</v>
      </c>
      <c r="I64" s="58">
        <f t="shared" si="1"/>
        <v>8.7274250605101467E-2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2:27" s="8" customFormat="1" ht="13" x14ac:dyDescent="0.15">
      <c r="B65" s="11"/>
      <c r="C65" s="11" t="s">
        <v>7</v>
      </c>
      <c r="D65" s="11" t="s">
        <v>10</v>
      </c>
      <c r="E65" s="53">
        <f>E29</f>
        <v>2500</v>
      </c>
      <c r="F65" s="54"/>
      <c r="G65" s="55"/>
      <c r="H65" s="56">
        <f t="shared" si="0"/>
        <v>5.8182833736734316E-2</v>
      </c>
      <c r="I65" s="59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2:27" s="8" customFormat="1" ht="13" x14ac:dyDescent="0.15">
      <c r="B66" s="11"/>
      <c r="C66" s="11"/>
      <c r="D66" s="11" t="s">
        <v>63</v>
      </c>
      <c r="E66" s="60">
        <f>ROUND(F66/D$51,0)</f>
        <v>1953</v>
      </c>
      <c r="F66" s="61">
        <v>500000</v>
      </c>
      <c r="G66" s="62">
        <f>E66*D$51</f>
        <v>499968</v>
      </c>
      <c r="H66" s="56">
        <f t="shared" si="0"/>
        <v>4.5452429715136848E-2</v>
      </c>
      <c r="I66" s="59">
        <f>SUM(H65:H66)</f>
        <v>0.10363526345187116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7" s="8" customFormat="1" ht="13" x14ac:dyDescent="0.15">
      <c r="B67" s="11"/>
      <c r="C67" s="11" t="s">
        <v>13</v>
      </c>
      <c r="D67" s="11" t="s">
        <v>63</v>
      </c>
      <c r="E67" s="60">
        <f>ROUND(F67/D$51,0)</f>
        <v>3906</v>
      </c>
      <c r="F67" s="61">
        <v>1000000</v>
      </c>
      <c r="G67" s="62">
        <f>E67*D$51</f>
        <v>999936</v>
      </c>
      <c r="H67" s="56">
        <f t="shared" si="0"/>
        <v>9.0904859430273696E-2</v>
      </c>
      <c r="I67" s="59">
        <f t="shared" si="1"/>
        <v>9.0904859430273696E-2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7" s="8" customFormat="1" ht="13" x14ac:dyDescent="0.15">
      <c r="B68" s="11"/>
      <c r="C68" s="11" t="s">
        <v>14</v>
      </c>
      <c r="D68" s="11" t="s">
        <v>63</v>
      </c>
      <c r="E68" s="60">
        <f>ROUND(F68/D$51,0)</f>
        <v>5859</v>
      </c>
      <c r="F68" s="61">
        <v>1500000</v>
      </c>
      <c r="G68" s="62">
        <f>E68*D$51</f>
        <v>1499904</v>
      </c>
      <c r="H68" s="56">
        <f t="shared" si="0"/>
        <v>0.13635728914541054</v>
      </c>
      <c r="I68" s="59">
        <f t="shared" si="1"/>
        <v>0.13635728914541054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7" s="11" customFormat="1" ht="4" customHeight="1" thickBot="1" x14ac:dyDescent="0.2">
      <c r="C69" s="29"/>
      <c r="D69" s="29"/>
      <c r="E69" s="63"/>
      <c r="F69" s="64"/>
      <c r="G69" s="65"/>
      <c r="H69" s="66"/>
      <c r="I69" s="66"/>
    </row>
    <row r="70" spans="2:27" s="8" customFormat="1" ht="14" thickTop="1" x14ac:dyDescent="0.15">
      <c r="B70" s="11"/>
      <c r="C70" s="37"/>
      <c r="D70" s="37"/>
      <c r="E70" s="67">
        <f>SUM(E62:E69)</f>
        <v>42968</v>
      </c>
      <c r="F70" s="48"/>
      <c r="G70" s="68">
        <f>SUM(G66:G69)</f>
        <v>2999808</v>
      </c>
      <c r="H70" s="49">
        <f>SUM(H61:H69)</f>
        <v>1</v>
      </c>
      <c r="I70" s="49">
        <f>SUM(I62:I69)</f>
        <v>1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2:27" s="8" customFormat="1" ht="13" x14ac:dyDescent="0.15">
      <c r="B71" s="11"/>
      <c r="C71" s="37"/>
      <c r="D71" s="37"/>
      <c r="E71" s="48"/>
      <c r="F71" s="48"/>
      <c r="G71" s="68"/>
      <c r="H71" s="49"/>
      <c r="I71" s="49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2:27" s="8" customFormat="1" ht="13" x14ac:dyDescent="0.15">
      <c r="B72" s="50"/>
      <c r="C72" s="37" t="s">
        <v>27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2:27" s="8" customFormat="1" ht="13" x14ac:dyDescent="0.15">
      <c r="B73" s="50"/>
      <c r="C73" s="37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2:27" s="8" customFormat="1" ht="13" x14ac:dyDescent="0.15">
      <c r="B74" s="50"/>
      <c r="C74" s="11" t="s">
        <v>47</v>
      </c>
      <c r="D74" s="69">
        <v>42857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2:27" s="8" customFormat="1" ht="13" x14ac:dyDescent="0.15">
      <c r="B75" s="50"/>
      <c r="C75" s="11" t="s">
        <v>49</v>
      </c>
      <c r="D75" s="70" t="s">
        <v>50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2:27" s="8" customFormat="1" ht="13" x14ac:dyDescent="0.15">
      <c r="B76" s="50"/>
      <c r="C76" s="11" t="s">
        <v>51</v>
      </c>
      <c r="D76" s="71">
        <f>D49</f>
        <v>8000000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2:27" s="8" customFormat="1" ht="13" x14ac:dyDescent="0.15">
      <c r="B77" s="50"/>
      <c r="C77" s="11" t="s">
        <v>19</v>
      </c>
      <c r="D77" s="38">
        <f>D35</f>
        <v>0.2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2:27" s="8" customFormat="1" ht="13" x14ac:dyDescent="0.15">
      <c r="B78" s="50"/>
      <c r="C78" s="11" t="s">
        <v>52</v>
      </c>
      <c r="D78" s="36">
        <f>D76*(1-D77)</f>
        <v>6400000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2:27" s="8" customFormat="1" ht="13" x14ac:dyDescent="0.15">
      <c r="B79" s="50"/>
      <c r="C79" s="11" t="s">
        <v>53</v>
      </c>
      <c r="D79" s="44">
        <f>D78/E30</f>
        <v>204.8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2:27" s="8" customFormat="1" ht="13" x14ac:dyDescent="0.15">
      <c r="B80" s="50"/>
      <c r="C80" s="37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2:27" s="8" customFormat="1" ht="13" x14ac:dyDescent="0.15">
      <c r="B81" s="50"/>
      <c r="C81" s="9" t="s">
        <v>45</v>
      </c>
      <c r="D81" s="10" t="s">
        <v>21</v>
      </c>
      <c r="E81" s="10" t="s">
        <v>46</v>
      </c>
      <c r="F81" s="10" t="s">
        <v>48</v>
      </c>
      <c r="G81" s="10" t="s">
        <v>24</v>
      </c>
      <c r="H81" s="10" t="s">
        <v>54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2:27" s="8" customFormat="1" ht="13" x14ac:dyDescent="0.15">
      <c r="B82" s="50"/>
      <c r="C82" s="11" t="str">
        <f>C43</f>
        <v>EarlyInvest II B.V.</v>
      </c>
      <c r="D82" s="46">
        <f>D43</f>
        <v>500000</v>
      </c>
      <c r="E82" s="72">
        <f>(D74-E43)/360*D36*D82</f>
        <v>14083.333333333334</v>
      </c>
      <c r="F82" s="72">
        <f>E82+D82</f>
        <v>514083.33333333331</v>
      </c>
      <c r="G82" s="45">
        <f>ROUND(F82/(D$79-1),0)</f>
        <v>2522</v>
      </c>
      <c r="H82" s="46">
        <f>G82*1</f>
        <v>2522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2:27" s="8" customFormat="1" ht="13" x14ac:dyDescent="0.15">
      <c r="B83" s="50"/>
      <c r="C83" s="11" t="str">
        <f>C44</f>
        <v>Peter Müller</v>
      </c>
      <c r="D83" s="46">
        <f>D44</f>
        <v>275000</v>
      </c>
      <c r="E83" s="72">
        <f>(D74-E44)/360*D36*D83</f>
        <v>7104.166666666667</v>
      </c>
      <c r="F83" s="72">
        <f>E83+D83</f>
        <v>282104.16666666669</v>
      </c>
      <c r="G83" s="45">
        <f>ROUND(F83/(D$79-1),0)</f>
        <v>1384</v>
      </c>
      <c r="H83" s="46">
        <f>G83*1</f>
        <v>1384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2:27" s="11" customFormat="1" ht="4" customHeight="1" thickBot="1" x14ac:dyDescent="0.2">
      <c r="C84" s="29"/>
      <c r="D84" s="29"/>
      <c r="E84" s="65"/>
      <c r="F84" s="65"/>
      <c r="G84" s="64"/>
      <c r="H84" s="64"/>
    </row>
    <row r="85" spans="2:27" s="8" customFormat="1" ht="14" thickTop="1" x14ac:dyDescent="0.15">
      <c r="B85" s="50"/>
      <c r="C85" s="37"/>
      <c r="D85" s="46">
        <f>SUM(D82:D84)</f>
        <v>775000</v>
      </c>
      <c r="E85" s="72">
        <f>SUM(E82:E83)</f>
        <v>21187.5</v>
      </c>
      <c r="F85" s="72">
        <f>SUM(F82:F83)</f>
        <v>796187.5</v>
      </c>
      <c r="G85" s="73">
        <f>SUM(G82:G83)</f>
        <v>3906</v>
      </c>
      <c r="H85" s="46">
        <f>SUM(H82:H83)</f>
        <v>3906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2:27" s="8" customFormat="1" ht="13" x14ac:dyDescent="0.15">
      <c r="B86" s="50"/>
      <c r="C86" s="37"/>
      <c r="D86" s="46"/>
      <c r="E86" s="46"/>
      <c r="F86" s="46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2:27" s="8" customFormat="1" ht="13" x14ac:dyDescent="0.15">
      <c r="B87" s="37" t="s">
        <v>28</v>
      </c>
    </row>
    <row r="88" spans="2:27" s="8" customFormat="1" ht="13" x14ac:dyDescent="0.15"/>
    <row r="89" spans="2:27" s="8" customFormat="1" ht="13" x14ac:dyDescent="0.15">
      <c r="C89" s="32" t="s">
        <v>30</v>
      </c>
    </row>
    <row r="90" spans="2:27" s="8" customFormat="1" ht="13" x14ac:dyDescent="0.15"/>
    <row r="91" spans="2:27" s="8" customFormat="1" ht="13" x14ac:dyDescent="0.15">
      <c r="C91" s="9" t="s">
        <v>16</v>
      </c>
      <c r="D91" s="9" t="s">
        <v>17</v>
      </c>
      <c r="E91" s="10" t="s">
        <v>18</v>
      </c>
      <c r="F91" s="10" t="s">
        <v>1</v>
      </c>
      <c r="G91" s="10" t="s">
        <v>0</v>
      </c>
    </row>
    <row r="92" spans="2:27" s="8" customFormat="1" ht="13" x14ac:dyDescent="0.15">
      <c r="C92" s="12" t="s">
        <v>5</v>
      </c>
      <c r="D92" s="13" t="s">
        <v>9</v>
      </c>
      <c r="E92" s="53">
        <f t="shared" ref="E92:E98" si="2">E62</f>
        <v>15000</v>
      </c>
      <c r="F92" s="56">
        <f>E92/E$102</f>
        <v>0.32000682681230536</v>
      </c>
      <c r="G92" s="57">
        <f>F92</f>
        <v>0.32000682681230536</v>
      </c>
    </row>
    <row r="93" spans="2:27" s="8" customFormat="1" ht="13" x14ac:dyDescent="0.15">
      <c r="C93" s="8" t="s">
        <v>6</v>
      </c>
      <c r="D93" s="11" t="s">
        <v>9</v>
      </c>
      <c r="E93" s="53">
        <f t="shared" si="2"/>
        <v>10000</v>
      </c>
      <c r="F93" s="56">
        <f t="shared" ref="F93:F99" si="3">E93/E$102</f>
        <v>0.21333788454153688</v>
      </c>
      <c r="G93" s="57">
        <f t="shared" ref="G93:G94" si="4">F93</f>
        <v>0.21333788454153688</v>
      </c>
    </row>
    <row r="94" spans="2:27" s="8" customFormat="1" ht="13" x14ac:dyDescent="0.15">
      <c r="C94" s="11" t="s">
        <v>8</v>
      </c>
      <c r="D94" s="11" t="s">
        <v>15</v>
      </c>
      <c r="E94" s="53">
        <f t="shared" si="2"/>
        <v>3750</v>
      </c>
      <c r="F94" s="56">
        <f t="shared" si="3"/>
        <v>8.0001706703076339E-2</v>
      </c>
      <c r="G94" s="58">
        <f t="shared" si="4"/>
        <v>8.0001706703076339E-2</v>
      </c>
    </row>
    <row r="95" spans="2:27" s="8" customFormat="1" ht="13" x14ac:dyDescent="0.15">
      <c r="C95" s="11" t="s">
        <v>7</v>
      </c>
      <c r="D95" s="11" t="s">
        <v>15</v>
      </c>
      <c r="E95" s="53">
        <f t="shared" si="2"/>
        <v>2500</v>
      </c>
      <c r="F95" s="56">
        <f t="shared" si="3"/>
        <v>5.3334471135384219E-2</v>
      </c>
      <c r="G95" s="59"/>
    </row>
    <row r="96" spans="2:27" s="8" customFormat="1" ht="13" x14ac:dyDescent="0.15">
      <c r="C96" s="11"/>
      <c r="D96" s="11" t="s">
        <v>64</v>
      </c>
      <c r="E96" s="53">
        <f t="shared" si="2"/>
        <v>1953</v>
      </c>
      <c r="F96" s="56">
        <f t="shared" si="3"/>
        <v>4.1664888850962152E-2</v>
      </c>
      <c r="G96" s="59">
        <f>SUM(F95:F96)</f>
        <v>9.4999359986346371E-2</v>
      </c>
    </row>
    <row r="97" spans="3:10" s="8" customFormat="1" ht="13" x14ac:dyDescent="0.15">
      <c r="C97" s="11" t="s">
        <v>13</v>
      </c>
      <c r="D97" s="11" t="s">
        <v>64</v>
      </c>
      <c r="E97" s="53">
        <f t="shared" si="2"/>
        <v>3906</v>
      </c>
      <c r="F97" s="56">
        <f t="shared" si="3"/>
        <v>8.3329777701924304E-2</v>
      </c>
      <c r="G97" s="59">
        <f t="shared" ref="G97:G100" si="5">F97</f>
        <v>8.3329777701924304E-2</v>
      </c>
    </row>
    <row r="98" spans="3:10" s="8" customFormat="1" ht="13" x14ac:dyDescent="0.15">
      <c r="C98" s="11" t="s">
        <v>14</v>
      </c>
      <c r="D98" s="11" t="s">
        <v>64</v>
      </c>
      <c r="E98" s="53">
        <f t="shared" si="2"/>
        <v>5859</v>
      </c>
      <c r="F98" s="56">
        <f t="shared" si="3"/>
        <v>0.12499466655288646</v>
      </c>
      <c r="G98" s="59">
        <f t="shared" si="5"/>
        <v>0.12499466655288646</v>
      </c>
      <c r="J98" s="74"/>
    </row>
    <row r="99" spans="3:10" s="8" customFormat="1" ht="13" x14ac:dyDescent="0.15">
      <c r="C99" s="75" t="s">
        <v>11</v>
      </c>
      <c r="D99" s="11" t="s">
        <v>64</v>
      </c>
      <c r="E99" s="60">
        <f>G82</f>
        <v>2522</v>
      </c>
      <c r="F99" s="56">
        <f t="shared" si="3"/>
        <v>5.3803814481375604E-2</v>
      </c>
      <c r="G99" s="59">
        <f t="shared" si="5"/>
        <v>5.3803814481375604E-2</v>
      </c>
    </row>
    <row r="100" spans="3:10" s="8" customFormat="1" ht="13" x14ac:dyDescent="0.15">
      <c r="C100" s="11" t="s">
        <v>12</v>
      </c>
      <c r="D100" s="11" t="s">
        <v>64</v>
      </c>
      <c r="E100" s="60">
        <f>G83</f>
        <v>1384</v>
      </c>
      <c r="F100" s="56">
        <f>E100/E$102</f>
        <v>2.9525963220548707E-2</v>
      </c>
      <c r="G100" s="59">
        <f t="shared" si="5"/>
        <v>2.9525963220548707E-2</v>
      </c>
    </row>
    <row r="101" spans="3:10" s="8" customFormat="1" ht="4" customHeight="1" thickBot="1" x14ac:dyDescent="0.2">
      <c r="C101" s="29"/>
      <c r="D101" s="29"/>
      <c r="E101" s="63"/>
      <c r="F101" s="66"/>
      <c r="G101" s="66"/>
    </row>
    <row r="102" spans="3:10" s="8" customFormat="1" ht="14" thickTop="1" x14ac:dyDescent="0.15">
      <c r="C102" s="37"/>
      <c r="D102" s="37"/>
      <c r="E102" s="67">
        <f>SUM(E92:E101)</f>
        <v>46874</v>
      </c>
      <c r="F102" s="49">
        <f>SUM(F91:F101)</f>
        <v>1.0000000000000002</v>
      </c>
      <c r="G102" s="49">
        <f>SUM(G92:G101)</f>
        <v>1</v>
      </c>
    </row>
    <row r="103" spans="3:10" s="8" customFormat="1" ht="13" x14ac:dyDescent="0.15"/>
    <row r="104" spans="3:10" s="8" customFormat="1" ht="13" x14ac:dyDescent="0.15">
      <c r="C104" s="32" t="s">
        <v>31</v>
      </c>
    </row>
    <row r="105" spans="3:10" s="8" customFormat="1" ht="13" x14ac:dyDescent="0.15"/>
    <row r="106" spans="3:10" s="8" customFormat="1" ht="13" x14ac:dyDescent="0.15">
      <c r="C106" s="9" t="s">
        <v>16</v>
      </c>
      <c r="D106" s="9" t="s">
        <v>17</v>
      </c>
      <c r="E106" s="10" t="s">
        <v>18</v>
      </c>
      <c r="F106" s="10" t="s">
        <v>1</v>
      </c>
      <c r="G106" s="10" t="s">
        <v>0</v>
      </c>
    </row>
    <row r="107" spans="3:10" s="8" customFormat="1" ht="13" x14ac:dyDescent="0.15">
      <c r="C107" s="8" t="s">
        <v>8</v>
      </c>
      <c r="D107" s="11" t="s">
        <v>15</v>
      </c>
      <c r="E107" s="53">
        <f t="shared" ref="E107:E113" si="6">E94</f>
        <v>3750</v>
      </c>
      <c r="F107" s="56">
        <f t="shared" ref="F107:F113" si="7">E107/$E$115</f>
        <v>0.17143640852153241</v>
      </c>
      <c r="G107" s="57">
        <f t="shared" ref="G107" si="8">F107</f>
        <v>0.17143640852153241</v>
      </c>
    </row>
    <row r="108" spans="3:10" s="8" customFormat="1" ht="13" x14ac:dyDescent="0.15">
      <c r="C108" s="11" t="s">
        <v>7</v>
      </c>
      <c r="D108" s="11" t="s">
        <v>15</v>
      </c>
      <c r="E108" s="53">
        <f t="shared" si="6"/>
        <v>2500</v>
      </c>
      <c r="F108" s="56">
        <f t="shared" si="7"/>
        <v>0.11429093901435494</v>
      </c>
      <c r="G108" s="59"/>
    </row>
    <row r="109" spans="3:10" s="8" customFormat="1" ht="13" x14ac:dyDescent="0.15">
      <c r="C109" s="11"/>
      <c r="D109" s="11" t="s">
        <v>64</v>
      </c>
      <c r="E109" s="60">
        <f t="shared" si="6"/>
        <v>1953</v>
      </c>
      <c r="F109" s="56">
        <f t="shared" si="7"/>
        <v>8.9284081558014081E-2</v>
      </c>
      <c r="G109" s="59">
        <f>SUM(F108:F109)</f>
        <v>0.20357502057236904</v>
      </c>
    </row>
    <row r="110" spans="3:10" s="8" customFormat="1" ht="13" x14ac:dyDescent="0.15">
      <c r="C110" s="11" t="s">
        <v>13</v>
      </c>
      <c r="D110" s="11" t="s">
        <v>64</v>
      </c>
      <c r="E110" s="60">
        <f t="shared" si="6"/>
        <v>3906</v>
      </c>
      <c r="F110" s="56">
        <f t="shared" si="7"/>
        <v>0.17856816311602816</v>
      </c>
      <c r="G110" s="59">
        <f t="shared" ref="G110:G113" si="9">F110</f>
        <v>0.17856816311602816</v>
      </c>
    </row>
    <row r="111" spans="3:10" s="8" customFormat="1" ht="13" x14ac:dyDescent="0.15">
      <c r="C111" s="11" t="s">
        <v>14</v>
      </c>
      <c r="D111" s="11" t="s">
        <v>64</v>
      </c>
      <c r="E111" s="60">
        <f t="shared" si="6"/>
        <v>5859</v>
      </c>
      <c r="F111" s="56">
        <f t="shared" si="7"/>
        <v>0.26785224467404223</v>
      </c>
      <c r="G111" s="59">
        <f t="shared" si="9"/>
        <v>0.26785224467404223</v>
      </c>
    </row>
    <row r="112" spans="3:10" s="8" customFormat="1" ht="13" x14ac:dyDescent="0.15">
      <c r="C112" s="12" t="s">
        <v>11</v>
      </c>
      <c r="D112" s="11" t="s">
        <v>64</v>
      </c>
      <c r="E112" s="60">
        <f t="shared" si="6"/>
        <v>2522</v>
      </c>
      <c r="F112" s="56">
        <f t="shared" si="7"/>
        <v>0.11529669927768127</v>
      </c>
      <c r="G112" s="59">
        <f t="shared" si="9"/>
        <v>0.11529669927768127</v>
      </c>
    </row>
    <row r="113" spans="3:7" s="8" customFormat="1" ht="13" x14ac:dyDescent="0.15">
      <c r="C113" s="8" t="s">
        <v>12</v>
      </c>
      <c r="D113" s="11" t="s">
        <v>64</v>
      </c>
      <c r="E113" s="60">
        <f t="shared" si="6"/>
        <v>1384</v>
      </c>
      <c r="F113" s="56">
        <f t="shared" si="7"/>
        <v>6.3271463838346892E-2</v>
      </c>
      <c r="G113" s="59">
        <f t="shared" si="9"/>
        <v>6.3271463838346892E-2</v>
      </c>
    </row>
    <row r="114" spans="3:7" s="8" customFormat="1" ht="4" customHeight="1" thickBot="1" x14ac:dyDescent="0.2">
      <c r="C114" s="29"/>
      <c r="D114" s="29"/>
      <c r="E114" s="29"/>
      <c r="F114" s="66"/>
      <c r="G114" s="66"/>
    </row>
    <row r="115" spans="3:7" s="8" customFormat="1" ht="14" thickTop="1" x14ac:dyDescent="0.15">
      <c r="E115" s="67">
        <f>SUM(E107:E114)</f>
        <v>21874</v>
      </c>
      <c r="F115" s="49">
        <f>SUM(F107:F114)</f>
        <v>1</v>
      </c>
      <c r="G115" s="49">
        <f>SUM(G107:G114)</f>
        <v>1</v>
      </c>
    </row>
    <row r="116" spans="3:7" s="8" customFormat="1" ht="13" x14ac:dyDescent="0.15"/>
    <row r="117" spans="3:7" s="8" customFormat="1" ht="13" x14ac:dyDescent="0.15"/>
    <row r="118" spans="3:7" s="8" customFormat="1" ht="13" x14ac:dyDescent="0.15"/>
    <row r="119" spans="3:7" s="8" customFormat="1" ht="13" x14ac:dyDescent="0.15"/>
    <row r="120" spans="3:7" s="8" customFormat="1" ht="13" x14ac:dyDescent="0.15"/>
    <row r="121" spans="3:7" s="8" customFormat="1" ht="13" x14ac:dyDescent="0.15"/>
    <row r="122" spans="3:7" s="8" customFormat="1" ht="13" x14ac:dyDescent="0.15"/>
    <row r="123" spans="3:7" s="8" customFormat="1" ht="13" x14ac:dyDescent="0.15"/>
    <row r="124" spans="3:7" s="8" customFormat="1" ht="13" x14ac:dyDescent="0.15"/>
    <row r="125" spans="3:7" s="8" customFormat="1" ht="13" x14ac:dyDescent="0.15"/>
    <row r="126" spans="3:7" s="8" customFormat="1" ht="13" x14ac:dyDescent="0.15"/>
    <row r="127" spans="3:7" s="8" customFormat="1" ht="13" x14ac:dyDescent="0.15"/>
    <row r="128" spans="3:7" s="8" customFormat="1" ht="13" x14ac:dyDescent="0.15"/>
  </sheetData>
  <phoneticPr fontId="5" type="noConversion"/>
  <pageMargins left="0.74803149606299213" right="0.74803149606299213" top="0.98425196850393704" bottom="0.98425196850393704" header="0.51181102362204722" footer="0.51181102362204722"/>
  <pageSetup paperSize="9" fitToHeight="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6" x14ac:dyDescent="0.2"/>
  <sheetData>
    <row r="1" spans="1:1" x14ac:dyDescent="0.25">
      <c r="A1" t="s">
        <v>2</v>
      </c>
    </row>
    <row r="2" spans="1:1" x14ac:dyDescent="0.25">
      <c r="A2" t="s">
        <v>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Blatt1</vt:lpstr>
      <vt:lpstr>Blatt2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Vitalii Ivantsov</dc:creator>
  <cp:lastModifiedBy>Microsoft Office-Anwender</cp:lastModifiedBy>
  <cp:lastPrinted>2018-01-04T15:23:49Z</cp:lastPrinted>
  <dcterms:created xsi:type="dcterms:W3CDTF">2016-06-27T08:33:31Z</dcterms:created>
  <dcterms:modified xsi:type="dcterms:W3CDTF">2018-01-24T11:00:53Z</dcterms:modified>
</cp:coreProperties>
</file>